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kte_2016\Schreiner Innung BY\Glasbemessung\"/>
    </mc:Choice>
  </mc:AlternateContent>
  <workbookProtection workbookAlgorithmName="SHA-512" workbookHashValue="YDv7CwrQfv3kShuPbmMcYjyvj0nrO8ICDct0Ur2C3l3Th0iXA5qFxeDNvnCvGVErGsmokgzr8k4mYkDIuvD6+w==" workbookSaltValue="3R48FEXVGCwFEizD+6c35A==" workbookSpinCount="100000" lockStructure="1"/>
  <bookViews>
    <workbookView xWindow="0" yWindow="0" windowWidth="21570" windowHeight="11610"/>
  </bookViews>
  <sheets>
    <sheet name="Rechner" sheetId="2" r:id="rId1"/>
    <sheet name="Daten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G18" i="1" l="1"/>
  <c r="G11" i="1"/>
  <c r="A60" i="1"/>
  <c r="A54" i="1"/>
  <c r="C28" i="1"/>
  <c r="C18" i="1"/>
  <c r="A3" i="1"/>
  <c r="C35" i="1"/>
  <c r="K18" i="1" s="1"/>
  <c r="C34" i="1"/>
  <c r="E45" i="1" l="1"/>
  <c r="Q45" i="1" s="1"/>
  <c r="C37" i="1"/>
  <c r="F36" i="1" s="1"/>
  <c r="E34" i="1" s="1"/>
  <c r="C36" i="1"/>
  <c r="E38" i="1"/>
  <c r="B7" i="1"/>
  <c r="O50" i="1"/>
  <c r="L50" i="1"/>
  <c r="B50" i="1"/>
  <c r="P49" i="1"/>
  <c r="J49" i="1"/>
  <c r="D49" i="1"/>
  <c r="C49" i="1"/>
  <c r="B49" i="1"/>
  <c r="L51" i="1"/>
  <c r="D16" i="1"/>
  <c r="D15" i="1"/>
  <c r="D14" i="1"/>
  <c r="D13" i="1"/>
  <c r="B9" i="1"/>
  <c r="B8" i="1"/>
  <c r="A7" i="1" l="1"/>
  <c r="C11" i="1" s="1"/>
  <c r="D51" i="1"/>
  <c r="C51" i="1"/>
  <c r="P51" i="1"/>
  <c r="J51" i="1"/>
  <c r="K45" i="1"/>
  <c r="N45" i="1"/>
  <c r="N51" i="1" s="1"/>
  <c r="H45" i="1"/>
  <c r="H51" i="1" s="1"/>
  <c r="E39" i="1"/>
  <c r="E40" i="1" s="1"/>
  <c r="E41" i="1"/>
  <c r="I34" i="1"/>
  <c r="J38" i="1" s="1"/>
  <c r="O51" i="1"/>
  <c r="Q51" i="1" s="1"/>
  <c r="J36" i="1"/>
  <c r="C38" i="1"/>
  <c r="C41" i="1" s="1"/>
  <c r="D11" i="1" l="1"/>
  <c r="F25" i="1"/>
  <c r="F26" i="1"/>
  <c r="H53" i="1"/>
  <c r="C55" i="1" s="1"/>
  <c r="N53" i="1"/>
  <c r="C57" i="1" s="1"/>
  <c r="Q53" i="1"/>
  <c r="C58" i="1" s="1"/>
  <c r="F24" i="1"/>
  <c r="K51" i="1"/>
  <c r="D25" i="1"/>
  <c r="I25" i="1" s="1"/>
  <c r="E51" i="1"/>
  <c r="C39" i="1"/>
  <c r="C40" i="1" s="1"/>
  <c r="J37" i="1"/>
  <c r="L38" i="1"/>
  <c r="L37" i="1"/>
  <c r="I26" i="1" l="1"/>
  <c r="D20" i="1"/>
  <c r="E20" i="1" s="1"/>
  <c r="D24" i="1"/>
  <c r="I24" i="1" s="1"/>
  <c r="D22" i="1"/>
  <c r="E22" i="1" s="1"/>
  <c r="D21" i="1"/>
  <c r="I21" i="1" s="1"/>
  <c r="E26" i="1"/>
  <c r="D23" i="1"/>
  <c r="E23" i="1" s="1"/>
  <c r="E53" i="1"/>
  <c r="C54" i="1" s="1"/>
  <c r="K53" i="1"/>
  <c r="C56" i="1" s="1"/>
  <c r="E24" i="1"/>
  <c r="E18" i="1" s="1"/>
  <c r="E28" i="1" s="1"/>
  <c r="E25" i="1"/>
  <c r="I20" i="1"/>
  <c r="I23" i="1"/>
  <c r="E21" i="1" l="1"/>
  <c r="I22" i="1"/>
  <c r="I18" i="1"/>
  <c r="I28" i="1" s="1"/>
  <c r="G17" i="2"/>
  <c r="G16" i="2"/>
  <c r="D16" i="2"/>
  <c r="D17" i="2"/>
</calcChain>
</file>

<file path=xl/sharedStrings.xml><?xml version="1.0" encoding="utf-8"?>
<sst xmlns="http://schemas.openxmlformats.org/spreadsheetml/2006/main" count="143" uniqueCount="100">
  <si>
    <t>Apfelland</t>
  </si>
  <si>
    <t>Birnenland</t>
  </si>
  <si>
    <t>Citronenland</t>
  </si>
  <si>
    <t>Dalienkreis</t>
  </si>
  <si>
    <t>Erikakreis</t>
  </si>
  <si>
    <t>Freesienkreis</t>
  </si>
  <si>
    <t>Gerberakreis</t>
  </si>
  <si>
    <t>Hibiskuskreis</t>
  </si>
  <si>
    <t>Iresinenkreis</t>
  </si>
  <si>
    <t>Jasminkreis</t>
  </si>
  <si>
    <t>Kalanchoekreis</t>
  </si>
  <si>
    <t>Lilienkreis</t>
  </si>
  <si>
    <t>Bundesland</t>
  </si>
  <si>
    <t>Kreis</t>
  </si>
  <si>
    <t>Windzone</t>
  </si>
  <si>
    <t>WZ 1</t>
  </si>
  <si>
    <t>WZ 2</t>
  </si>
  <si>
    <t>WZ 3</t>
  </si>
  <si>
    <t>WZ 4</t>
  </si>
  <si>
    <t>Auswahl:</t>
  </si>
  <si>
    <r>
      <t>für H</t>
    </r>
    <r>
      <rPr>
        <sz val="8"/>
        <rFont val="Arial"/>
        <family val="2"/>
      </rPr>
      <t>s</t>
    </r>
    <r>
      <rPr>
        <sz val="11"/>
        <color theme="1"/>
        <rFont val="Calibri"/>
        <family val="2"/>
        <scheme val="minor"/>
      </rPr>
      <t>=</t>
    </r>
  </si>
  <si>
    <t>m</t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</si>
  <si>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10 N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</si>
  <si>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10 K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</si>
  <si>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10 B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</si>
  <si>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18 K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</si>
  <si>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18 B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</si>
  <si>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25 K</t>
    </r>
  </si>
  <si>
    <r>
      <t>q</t>
    </r>
    <r>
      <rPr>
        <b/>
        <sz val="12"/>
        <color indexed="57"/>
        <rFont val="Arial"/>
        <family val="2"/>
      </rPr>
      <t xml:space="preserve"> </t>
    </r>
    <r>
      <rPr>
        <b/>
        <sz val="8"/>
        <color indexed="57"/>
        <rFont val="Arial"/>
        <family val="2"/>
      </rPr>
      <t>25 B</t>
    </r>
  </si>
  <si>
    <r>
      <t xml:space="preserve">v </t>
    </r>
    <r>
      <rPr>
        <b/>
        <sz val="8"/>
        <rFont val="Arial"/>
        <family val="2"/>
      </rPr>
      <t>ref</t>
    </r>
  </si>
  <si>
    <r>
      <t>q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ref</t>
    </r>
  </si>
  <si>
    <t>für z=</t>
  </si>
  <si>
    <t>Geländekat.</t>
  </si>
  <si>
    <r>
      <t>z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min</t>
    </r>
  </si>
  <si>
    <r>
      <t>q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min</t>
    </r>
  </si>
  <si>
    <r>
      <t>q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ze</t>
    </r>
  </si>
  <si>
    <r>
      <t>q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zb</t>
    </r>
  </si>
  <si>
    <t>GK I</t>
  </si>
  <si>
    <t>GK II</t>
  </si>
  <si>
    <t>GK III</t>
  </si>
  <si>
    <t>GK IV</t>
  </si>
  <si>
    <t>MP Bin.</t>
  </si>
  <si>
    <t>MP Küs</t>
  </si>
  <si>
    <t>MP Nor</t>
  </si>
  <si>
    <t>kN/m²</t>
  </si>
  <si>
    <t>Topogr.-bw.</t>
  </si>
  <si>
    <r>
      <t>c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t</t>
    </r>
  </si>
  <si>
    <t>eben</t>
  </si>
  <si>
    <t>exponiert</t>
  </si>
  <si>
    <t>Gebäudeproportionen</t>
  </si>
  <si>
    <t>Schmalseite</t>
  </si>
  <si>
    <t>Breitseite</t>
  </si>
  <si>
    <t>h/b</t>
  </si>
  <si>
    <t>indiziert:</t>
  </si>
  <si>
    <t xml:space="preserve"> </t>
  </si>
  <si>
    <t>h/d</t>
  </si>
  <si>
    <t>e</t>
  </si>
  <si>
    <t>Breite A</t>
  </si>
  <si>
    <t>Breite B</t>
  </si>
  <si>
    <t>Breite C</t>
  </si>
  <si>
    <r>
      <t>maximale Druckbeiwerte geschlossene Fassade</t>
    </r>
    <r>
      <rPr>
        <sz val="12"/>
        <rFont val="Arial"/>
        <family val="2"/>
      </rPr>
      <t xml:space="preserve"> (bei Wind auf breite Seite)</t>
    </r>
  </si>
  <si>
    <t>A</t>
  </si>
  <si>
    <t>B</t>
  </si>
  <si>
    <t>C</t>
  </si>
  <si>
    <t>D</t>
  </si>
  <si>
    <t>E</t>
  </si>
  <si>
    <t>Eingabewerte</t>
  </si>
  <si>
    <t>Landkreis</t>
  </si>
  <si>
    <t>Gelände</t>
  </si>
  <si>
    <t>Umgebung</t>
  </si>
  <si>
    <t>Standortsituation</t>
  </si>
  <si>
    <t>Meereshöhe</t>
  </si>
  <si>
    <t>Gebäudeabmessungen</t>
  </si>
  <si>
    <t>Höhe</t>
  </si>
  <si>
    <t>Länge</t>
  </si>
  <si>
    <t>Breite</t>
  </si>
  <si>
    <t>Fassadenbereich</t>
  </si>
  <si>
    <t>Zone</t>
  </si>
  <si>
    <t>Öffnung</t>
  </si>
  <si>
    <t>Verglasung</t>
  </si>
  <si>
    <t>Art</t>
  </si>
  <si>
    <t>Abmessung</t>
  </si>
  <si>
    <t>Zweifach-Isolierglas</t>
  </si>
  <si>
    <t>kleiner 20%</t>
  </si>
  <si>
    <t>20 bis 70%</t>
  </si>
  <si>
    <t>über 70%</t>
  </si>
  <si>
    <t>äußere Windlast</t>
  </si>
  <si>
    <t>innere Windlast</t>
  </si>
  <si>
    <t>Winddruck</t>
  </si>
  <si>
    <t>Windsog</t>
  </si>
  <si>
    <t>planmäßig öffenbarer Fassadenflächenanteil</t>
  </si>
  <si>
    <t>Zone A ist unmittelbarer Eckbereich, Zone B und C sind weiter entfernt</t>
  </si>
  <si>
    <t>Der äußere Winddruck ist für den ungünstigsten Fall mit dem inneren Windsog zu überlagern und umgekehrt!</t>
  </si>
  <si>
    <t>löscht alle markierten Zellen durch Betätigung der &lt;ENTF&gt;-Taste</t>
  </si>
  <si>
    <t>zur Darstellung der typischen Rechenabläufe von EXCEL-Rechnern</t>
  </si>
  <si>
    <t>GLAMECO - Musterrechner</t>
  </si>
  <si>
    <t>Windlast auf die Fensterverglasung</t>
  </si>
  <si>
    <t>Ingenieurbüro GlassMetalConsulting Peter Kasper, Gundelfingen/Donau</t>
  </si>
  <si>
    <t>Fertige EXCEL-Rechner für typische Anwendungen für den Glasbau oder individuelle EXCEL-Programmierung</t>
  </si>
  <si>
    <t>Internet: www.gmc-kasper.de         E-Mail: post@gmc-kasper.de         Telefon: 09073/3807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</si>
</sst>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57"/>
      <name val="Arial"/>
      <family val="2"/>
    </font>
    <font>
      <b/>
      <sz val="12"/>
      <color indexed="57"/>
      <name val="Arial"/>
      <family val="2"/>
    </font>
    <font>
      <b/>
      <sz val="8"/>
      <color indexed="5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57"/>
      <name val="Arial"/>
      <family val="2"/>
    </font>
    <font>
      <b/>
      <sz val="10"/>
      <color indexed="9"/>
      <name val="Arial"/>
      <family val="2"/>
    </font>
    <font>
      <sz val="10"/>
      <color indexed="55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11" fillId="4" borderId="0" xfId="0" applyNumberFormat="1" applyFont="1" applyFill="1" applyAlignment="1">
      <alignment horizontal="center"/>
    </xf>
    <xf numFmtId="0" fontId="12" fillId="0" borderId="0" xfId="0" applyFont="1"/>
    <xf numFmtId="0" fontId="7" fillId="0" borderId="0" xfId="0" applyFont="1"/>
    <xf numFmtId="164" fontId="11" fillId="5" borderId="0" xfId="0" applyNumberFormat="1" applyFont="1" applyFill="1" applyAlignment="1">
      <alignment horizontal="center"/>
    </xf>
    <xf numFmtId="0" fontId="0" fillId="0" borderId="0" xfId="0" quotePrefix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164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0" xfId="0" applyFill="1"/>
    <xf numFmtId="0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2" fontId="11" fillId="11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13" borderId="0" xfId="0" applyFill="1" applyProtection="1">
      <protection hidden="1"/>
    </xf>
    <xf numFmtId="0" fontId="16" fillId="12" borderId="0" xfId="0" applyFont="1" applyFill="1" applyAlignment="1" applyProtection="1">
      <alignment horizontal="left" indent="1"/>
      <protection hidden="1"/>
    </xf>
    <xf numFmtId="0" fontId="0" fillId="12" borderId="0" xfId="0" applyFill="1" applyProtection="1">
      <protection hidden="1"/>
    </xf>
    <xf numFmtId="0" fontId="1" fillId="12" borderId="0" xfId="0" applyFont="1" applyFill="1" applyAlignment="1" applyProtection="1">
      <alignment horizontal="left" vertical="center"/>
      <protection hidden="1"/>
    </xf>
    <xf numFmtId="0" fontId="0" fillId="12" borderId="0" xfId="0" applyFont="1" applyFill="1" applyAlignment="1" applyProtection="1">
      <alignment horizontal="right" indent="1"/>
      <protection hidden="1"/>
    </xf>
    <xf numFmtId="164" fontId="0" fillId="0" borderId="0" xfId="0" applyNumberFormat="1" applyFill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64" fontId="0" fillId="12" borderId="0" xfId="0" applyNumberFormat="1" applyFill="1" applyAlignment="1" applyProtection="1">
      <alignment horizontal="center"/>
      <protection hidden="1"/>
    </xf>
    <xf numFmtId="2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locked="0" hidden="1"/>
    </xf>
    <xf numFmtId="1" fontId="0" fillId="0" borderId="0" xfId="0" applyNumberFormat="1" applyFill="1" applyAlignment="1" applyProtection="1">
      <alignment horizontal="center"/>
      <protection locked="0" hidden="1"/>
    </xf>
    <xf numFmtId="164" fontId="0" fillId="0" borderId="0" xfId="0" applyNumberFormat="1" applyFill="1" applyAlignment="1" applyProtection="1">
      <alignment horizontal="center"/>
      <protection locked="0" hidden="1"/>
    </xf>
    <xf numFmtId="0" fontId="18" fillId="0" borderId="0" xfId="0" applyFont="1" applyFill="1" applyAlignment="1" applyProtection="1">
      <alignment horizontal="center"/>
      <protection locked="0" hidden="1"/>
    </xf>
    <xf numFmtId="2" fontId="0" fillId="0" borderId="0" xfId="0" applyNumberFormat="1" applyFill="1" applyAlignment="1" applyProtection="1">
      <alignment horizontal="center"/>
      <protection locked="0" hidden="1"/>
    </xf>
    <xf numFmtId="0" fontId="15" fillId="12" borderId="0" xfId="0" applyFont="1" applyFill="1" applyAlignment="1" applyProtection="1">
      <alignment horizontal="left" indent="1"/>
      <protection hidden="1"/>
    </xf>
    <xf numFmtId="0" fontId="17" fillId="12" borderId="0" xfId="0" applyFont="1" applyFill="1" applyAlignment="1" applyProtection="1">
      <alignment horizontal="left" indent="1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0" fillId="14" borderId="0" xfId="0" applyFill="1"/>
    <xf numFmtId="0" fontId="22" fillId="12" borderId="0" xfId="1" applyFont="1" applyFill="1" applyProtection="1">
      <protection hidden="1"/>
    </xf>
    <xf numFmtId="0" fontId="21" fillId="13" borderId="0" xfId="0" applyFont="1" applyFill="1" applyAlignment="1" applyProtection="1">
      <alignment horizontal="center"/>
      <protection hidden="1"/>
    </xf>
    <xf numFmtId="0" fontId="20" fillId="13" borderId="0" xfId="0" applyFont="1" applyFill="1" applyAlignment="1" applyProtection="1">
      <alignment horizontal="center" vertical="top"/>
      <protection hidden="1"/>
    </xf>
    <xf numFmtId="0" fontId="20" fillId="13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left" indent="1"/>
      <protection locked="0" hidden="1"/>
    </xf>
    <xf numFmtId="0" fontId="1" fillId="12" borderId="0" xfId="0" applyFont="1" applyFill="1" applyAlignment="1" applyProtection="1">
      <alignment horizontal="left" vertical="center"/>
      <protection hidden="1"/>
    </xf>
    <xf numFmtId="0" fontId="0" fillId="12" borderId="0" xfId="0" applyFill="1" applyAlignment="1" applyProtection="1">
      <alignment horizontal="center"/>
      <protection hidden="1"/>
    </xf>
    <xf numFmtId="0" fontId="6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D5" sqref="D5:E5"/>
    </sheetView>
  </sheetViews>
  <sheetFormatPr baseColWidth="10" defaultRowHeight="15" x14ac:dyDescent="0.25"/>
  <cols>
    <col min="1" max="1" width="2.7109375" customWidth="1"/>
    <col min="2" max="2" width="5.28515625" customWidth="1"/>
    <col min="3" max="3" width="15.7109375" customWidth="1"/>
    <col min="4" max="5" width="9.7109375" customWidth="1"/>
    <col min="6" max="6" width="12.7109375" customWidth="1"/>
    <col min="7" max="8" width="9.7109375" customWidth="1"/>
    <col min="9" max="9" width="12.7109375" customWidth="1"/>
    <col min="10" max="11" width="9.7109375" customWidth="1"/>
    <col min="12" max="12" width="4.7109375" customWidth="1"/>
    <col min="13" max="13" width="2.7109375" customWidth="1"/>
  </cols>
  <sheetData>
    <row r="1" spans="1:20" ht="28.5" customHeight="1" x14ac:dyDescent="0.35">
      <c r="A1" s="34"/>
      <c r="B1" s="34"/>
      <c r="C1" s="53" t="s">
        <v>95</v>
      </c>
      <c r="D1" s="53"/>
      <c r="E1" s="53"/>
      <c r="F1" s="53"/>
      <c r="G1" s="53"/>
      <c r="H1" s="53"/>
      <c r="I1" s="53"/>
      <c r="J1" s="53"/>
      <c r="K1" s="53"/>
      <c r="L1" s="34"/>
      <c r="M1" s="34"/>
      <c r="N1" s="51"/>
      <c r="O1" s="51"/>
      <c r="P1" s="51"/>
      <c r="Q1" s="51"/>
      <c r="R1" s="51"/>
      <c r="S1" s="51"/>
      <c r="T1" s="51"/>
    </row>
    <row r="2" spans="1:20" ht="23.25" customHeight="1" x14ac:dyDescent="0.25">
      <c r="A2" s="34"/>
      <c r="B2" s="34"/>
      <c r="C2" s="54" t="s">
        <v>94</v>
      </c>
      <c r="D2" s="54"/>
      <c r="E2" s="54"/>
      <c r="F2" s="54"/>
      <c r="G2" s="54"/>
      <c r="H2" s="54"/>
      <c r="I2" s="54"/>
      <c r="J2" s="54"/>
      <c r="K2" s="54"/>
      <c r="L2" s="34"/>
      <c r="M2" s="34"/>
      <c r="N2" s="51"/>
      <c r="O2" s="51"/>
      <c r="P2" s="51"/>
      <c r="Q2" s="51"/>
      <c r="R2" s="51"/>
      <c r="S2" s="51"/>
      <c r="T2" s="51"/>
    </row>
    <row r="3" spans="1:20" ht="23.25" customHeight="1" x14ac:dyDescent="0.3">
      <c r="A3" s="34"/>
      <c r="B3" s="35" t="s">
        <v>66</v>
      </c>
      <c r="C3" s="36"/>
      <c r="D3" s="52" t="str">
        <f>HYPERLINK("#D5:E6;D7:D9;G5:G7;G10:G11;J7:J8","alle Eingaben löschen")</f>
        <v>alle Eingaben löschen</v>
      </c>
      <c r="E3" s="36"/>
      <c r="F3" s="50" t="s">
        <v>93</v>
      </c>
      <c r="G3" s="36"/>
      <c r="H3" s="36"/>
      <c r="I3" s="36"/>
      <c r="J3" s="36"/>
      <c r="K3" s="36"/>
      <c r="L3" s="36"/>
      <c r="M3" s="34"/>
      <c r="N3" s="51"/>
      <c r="O3" s="51"/>
      <c r="P3" s="51"/>
      <c r="Q3" s="51"/>
      <c r="R3" s="51"/>
      <c r="S3" s="51"/>
      <c r="T3" s="51"/>
    </row>
    <row r="4" spans="1:20" ht="21" customHeight="1" x14ac:dyDescent="0.25">
      <c r="A4" s="34"/>
      <c r="B4" s="36"/>
      <c r="C4" s="37" t="s">
        <v>70</v>
      </c>
      <c r="D4" s="36"/>
      <c r="E4" s="36"/>
      <c r="F4" s="37" t="s">
        <v>72</v>
      </c>
      <c r="G4" s="36"/>
      <c r="H4" s="36"/>
      <c r="I4" s="37" t="s">
        <v>79</v>
      </c>
      <c r="J4" s="36"/>
      <c r="K4" s="36"/>
      <c r="L4" s="36"/>
      <c r="M4" s="34"/>
      <c r="N4" s="51"/>
      <c r="O4" s="51"/>
      <c r="P4" s="51"/>
      <c r="Q4" s="51"/>
      <c r="R4" s="51"/>
      <c r="S4" s="51"/>
      <c r="T4" s="51"/>
    </row>
    <row r="5" spans="1:20" x14ac:dyDescent="0.25">
      <c r="A5" s="34"/>
      <c r="B5" s="36"/>
      <c r="C5" s="38" t="s">
        <v>12</v>
      </c>
      <c r="D5" s="56" t="s">
        <v>1</v>
      </c>
      <c r="E5" s="56"/>
      <c r="F5" s="38" t="s">
        <v>73</v>
      </c>
      <c r="G5" s="45">
        <v>12.4</v>
      </c>
      <c r="H5" s="36" t="s">
        <v>21</v>
      </c>
      <c r="I5" s="38" t="s">
        <v>80</v>
      </c>
      <c r="J5" s="39" t="s">
        <v>82</v>
      </c>
      <c r="K5" s="40"/>
      <c r="L5" s="36"/>
      <c r="M5" s="34"/>
      <c r="N5" s="51"/>
      <c r="O5" s="51"/>
      <c r="P5" s="51"/>
      <c r="Q5" s="51"/>
      <c r="R5" s="51"/>
      <c r="S5" s="51"/>
      <c r="T5" s="51"/>
    </row>
    <row r="6" spans="1:20" x14ac:dyDescent="0.25">
      <c r="A6" s="34"/>
      <c r="B6" s="36"/>
      <c r="C6" s="38" t="s">
        <v>67</v>
      </c>
      <c r="D6" s="56" t="s">
        <v>7</v>
      </c>
      <c r="E6" s="56"/>
      <c r="F6" s="38" t="s">
        <v>75</v>
      </c>
      <c r="G6" s="45">
        <v>26.8</v>
      </c>
      <c r="H6" s="36" t="s">
        <v>21</v>
      </c>
      <c r="I6" s="38" t="s">
        <v>81</v>
      </c>
      <c r="J6" s="41"/>
      <c r="K6" s="36"/>
      <c r="L6" s="36"/>
      <c r="M6" s="34"/>
      <c r="N6" s="51"/>
      <c r="O6" s="51"/>
      <c r="P6" s="51"/>
      <c r="Q6" s="51"/>
      <c r="R6" s="51"/>
      <c r="S6" s="51"/>
      <c r="T6" s="51"/>
    </row>
    <row r="7" spans="1:20" x14ac:dyDescent="0.25">
      <c r="A7" s="34"/>
      <c r="B7" s="36"/>
      <c r="C7" s="38" t="s">
        <v>68</v>
      </c>
      <c r="D7" s="43" t="s">
        <v>41</v>
      </c>
      <c r="E7" s="36"/>
      <c r="F7" s="38" t="s">
        <v>74</v>
      </c>
      <c r="G7" s="45">
        <v>34.5</v>
      </c>
      <c r="H7" s="36" t="s">
        <v>21</v>
      </c>
      <c r="I7" s="38" t="s">
        <v>73</v>
      </c>
      <c r="J7" s="47">
        <v>1.85</v>
      </c>
      <c r="K7" s="36" t="s">
        <v>21</v>
      </c>
      <c r="L7" s="36"/>
      <c r="M7" s="34"/>
      <c r="N7" s="51"/>
      <c r="O7" s="51"/>
      <c r="P7" s="51"/>
      <c r="Q7" s="51"/>
      <c r="R7" s="51"/>
      <c r="S7" s="51"/>
      <c r="T7" s="51"/>
    </row>
    <row r="8" spans="1:20" x14ac:dyDescent="0.25">
      <c r="A8" s="34"/>
      <c r="B8" s="36"/>
      <c r="C8" s="38" t="s">
        <v>69</v>
      </c>
      <c r="D8" s="43" t="s">
        <v>47</v>
      </c>
      <c r="E8" s="36"/>
      <c r="F8" s="57" t="s">
        <v>76</v>
      </c>
      <c r="G8" s="57"/>
      <c r="H8" s="36"/>
      <c r="I8" s="38" t="s">
        <v>75</v>
      </c>
      <c r="J8" s="47">
        <v>1.1499999999999999</v>
      </c>
      <c r="K8" s="36" t="s">
        <v>21</v>
      </c>
      <c r="L8" s="36"/>
      <c r="M8" s="34"/>
      <c r="N8" s="51"/>
      <c r="O8" s="51"/>
      <c r="P8" s="51"/>
      <c r="Q8" s="51"/>
      <c r="R8" s="51"/>
      <c r="S8" s="51"/>
      <c r="T8" s="51"/>
    </row>
    <row r="9" spans="1:20" x14ac:dyDescent="0.25">
      <c r="A9" s="34"/>
      <c r="B9" s="36"/>
      <c r="C9" s="38" t="s">
        <v>71</v>
      </c>
      <c r="D9" s="44">
        <v>415</v>
      </c>
      <c r="E9" s="36" t="s">
        <v>21</v>
      </c>
      <c r="F9" s="57"/>
      <c r="G9" s="57"/>
      <c r="H9" s="36"/>
      <c r="I9" s="38"/>
      <c r="J9" s="41"/>
      <c r="K9" s="36"/>
      <c r="L9" s="36"/>
      <c r="M9" s="34"/>
      <c r="N9" s="51"/>
      <c r="O9" s="51"/>
      <c r="P9" s="51"/>
      <c r="Q9" s="51"/>
      <c r="R9" s="51"/>
      <c r="S9" s="51"/>
      <c r="T9" s="51"/>
    </row>
    <row r="10" spans="1:20" x14ac:dyDescent="0.25">
      <c r="A10" s="34"/>
      <c r="B10" s="36"/>
      <c r="C10" s="36"/>
      <c r="D10" s="36"/>
      <c r="E10" s="36"/>
      <c r="F10" s="38" t="s">
        <v>77</v>
      </c>
      <c r="G10" s="43" t="s">
        <v>62</v>
      </c>
      <c r="H10" s="49" t="s">
        <v>91</v>
      </c>
      <c r="I10" s="38"/>
      <c r="J10" s="36"/>
      <c r="K10" s="36"/>
      <c r="L10" s="36"/>
      <c r="M10" s="34"/>
      <c r="N10" s="51"/>
      <c r="O10" s="51"/>
      <c r="P10" s="51"/>
      <c r="Q10" s="51"/>
      <c r="R10" s="51"/>
      <c r="S10" s="51"/>
      <c r="T10" s="51"/>
    </row>
    <row r="11" spans="1:20" x14ac:dyDescent="0.25">
      <c r="A11" s="34"/>
      <c r="B11" s="36"/>
      <c r="C11" s="36"/>
      <c r="D11" s="36"/>
      <c r="E11" s="36"/>
      <c r="F11" s="38" t="s">
        <v>78</v>
      </c>
      <c r="G11" s="46" t="s">
        <v>83</v>
      </c>
      <c r="H11" s="48" t="s">
        <v>90</v>
      </c>
      <c r="I11" s="38"/>
      <c r="J11" s="36"/>
      <c r="K11" s="36"/>
      <c r="L11" s="36"/>
      <c r="M11" s="34"/>
      <c r="N11" s="51"/>
      <c r="O11" s="51"/>
      <c r="P11" s="51"/>
      <c r="Q11" s="51"/>
      <c r="R11" s="51"/>
      <c r="S11" s="51"/>
      <c r="T11" s="51"/>
    </row>
    <row r="12" spans="1:20" ht="8.25" customHeight="1" x14ac:dyDescent="0.25">
      <c r="A12" s="34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4"/>
      <c r="N12" s="51"/>
      <c r="O12" s="51"/>
      <c r="P12" s="51"/>
      <c r="Q12" s="51"/>
      <c r="R12" s="51"/>
      <c r="S12" s="51"/>
      <c r="T12" s="51"/>
    </row>
    <row r="13" spans="1:20" ht="5.2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1"/>
      <c r="O13" s="51"/>
      <c r="P13" s="51"/>
      <c r="Q13" s="51"/>
      <c r="R13" s="51"/>
      <c r="S13" s="51"/>
      <c r="T13" s="51"/>
    </row>
    <row r="14" spans="1:20" ht="23.25" customHeight="1" x14ac:dyDescent="0.3">
      <c r="A14" s="34"/>
      <c r="B14" s="35" t="s">
        <v>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4"/>
      <c r="N14" s="51"/>
      <c r="O14" s="51"/>
      <c r="P14" s="51"/>
      <c r="Q14" s="51"/>
      <c r="R14" s="51"/>
      <c r="S14" s="51"/>
      <c r="T14" s="51"/>
    </row>
    <row r="15" spans="1:20" ht="21" customHeight="1" x14ac:dyDescent="0.25">
      <c r="A15" s="34"/>
      <c r="B15" s="36"/>
      <c r="C15" s="37" t="s">
        <v>86</v>
      </c>
      <c r="D15" s="36"/>
      <c r="E15" s="36"/>
      <c r="F15" s="37" t="s">
        <v>87</v>
      </c>
      <c r="G15" s="36"/>
      <c r="H15" s="36"/>
      <c r="I15" s="37"/>
      <c r="J15" s="36"/>
      <c r="K15" s="36"/>
      <c r="L15" s="36"/>
      <c r="M15" s="34"/>
      <c r="N15" s="51"/>
      <c r="O15" s="51"/>
      <c r="P15" s="51"/>
      <c r="Q15" s="51"/>
      <c r="R15" s="51"/>
      <c r="S15" s="51"/>
      <c r="T15" s="51"/>
    </row>
    <row r="16" spans="1:20" x14ac:dyDescent="0.25">
      <c r="A16" s="34"/>
      <c r="B16" s="36"/>
      <c r="C16" s="38" t="s">
        <v>88</v>
      </c>
      <c r="D16" s="42">
        <f>Daten!E28*Daten!N53</f>
        <v>0.67192365965056089</v>
      </c>
      <c r="E16" s="36" t="s">
        <v>44</v>
      </c>
      <c r="F16" s="38" t="s">
        <v>88</v>
      </c>
      <c r="G16" s="42">
        <f>Daten!E28*-INDEX(Daten!C60:C62,Daten!A60)</f>
        <v>0.14381526148270324</v>
      </c>
      <c r="H16" s="36" t="s">
        <v>44</v>
      </c>
      <c r="I16" s="36"/>
      <c r="J16" s="36"/>
      <c r="K16" s="36"/>
      <c r="L16" s="36"/>
      <c r="M16" s="34"/>
      <c r="N16" s="51"/>
      <c r="O16" s="51"/>
      <c r="P16" s="51"/>
      <c r="Q16" s="51"/>
      <c r="R16" s="51"/>
      <c r="S16" s="51"/>
      <c r="T16" s="51"/>
    </row>
    <row r="17" spans="1:20" x14ac:dyDescent="0.25">
      <c r="A17" s="34"/>
      <c r="B17" s="36"/>
      <c r="C17" s="38" t="s">
        <v>89</v>
      </c>
      <c r="D17" s="42">
        <f>Daten!E28*MIN(INDEX(Daten!C54:C56,Daten!A54),Daten!C58)</f>
        <v>-0.72025496651043497</v>
      </c>
      <c r="E17" s="36" t="s">
        <v>44</v>
      </c>
      <c r="F17" s="38" t="s">
        <v>89</v>
      </c>
      <c r="G17" s="42">
        <f>Daten!E28*-INDEX(Daten!D60:D62,Daten!A60)</f>
        <v>-0.21572289222405483</v>
      </c>
      <c r="H17" s="36" t="s">
        <v>44</v>
      </c>
      <c r="I17" s="36"/>
      <c r="J17" s="36"/>
      <c r="K17" s="36"/>
      <c r="L17" s="36"/>
      <c r="M17" s="34"/>
      <c r="N17" s="51"/>
      <c r="O17" s="51"/>
      <c r="P17" s="51"/>
      <c r="Q17" s="51"/>
      <c r="R17" s="51"/>
      <c r="S17" s="51"/>
      <c r="T17" s="51"/>
    </row>
    <row r="18" spans="1:20" ht="19.5" customHeight="1" x14ac:dyDescent="0.25">
      <c r="A18" s="34"/>
      <c r="B18" s="58" t="s">
        <v>92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34"/>
      <c r="N18" s="51"/>
      <c r="O18" s="51"/>
      <c r="P18" s="51"/>
      <c r="Q18" s="51"/>
      <c r="R18" s="51"/>
      <c r="S18" s="51"/>
      <c r="T18" s="51"/>
    </row>
    <row r="19" spans="1:20" ht="8.25" customHeight="1" x14ac:dyDescent="0.25">
      <c r="A19" s="34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4"/>
      <c r="N19" s="51"/>
      <c r="O19" s="51"/>
      <c r="P19" s="51"/>
      <c r="Q19" s="51"/>
      <c r="R19" s="51"/>
      <c r="S19" s="51"/>
      <c r="T19" s="51"/>
    </row>
    <row r="20" spans="1:20" ht="18" customHeight="1" x14ac:dyDescent="0.25">
      <c r="A20" s="34"/>
      <c r="B20" s="55" t="s">
        <v>97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34"/>
      <c r="N20" s="51"/>
      <c r="O20" s="51"/>
      <c r="P20" s="51"/>
      <c r="Q20" s="51"/>
      <c r="R20" s="51"/>
      <c r="S20" s="51"/>
      <c r="T20" s="51"/>
    </row>
    <row r="21" spans="1:20" ht="24" customHeight="1" x14ac:dyDescent="0.25">
      <c r="A21" s="34"/>
      <c r="B21" s="55" t="s">
        <v>98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34"/>
      <c r="N21" s="51"/>
      <c r="O21" s="51"/>
      <c r="P21" s="51"/>
      <c r="Q21" s="51"/>
      <c r="R21" s="51"/>
      <c r="S21" s="51"/>
      <c r="T21" s="51"/>
    </row>
    <row r="22" spans="1:20" ht="24" customHeight="1" x14ac:dyDescent="0.25">
      <c r="A22" s="34"/>
      <c r="B22" s="54" t="s">
        <v>99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34"/>
      <c r="N22" s="51"/>
      <c r="O22" s="51"/>
      <c r="P22" s="51"/>
      <c r="Q22" s="51"/>
      <c r="R22" s="51"/>
      <c r="S22" s="51"/>
      <c r="T22" s="51"/>
    </row>
    <row r="23" spans="1:2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</sheetData>
  <sheetProtection algorithmName="SHA-512" hashValue="WDjp2QkfYI5k5iWtpjE+4AGfZTLWcsvf0g4700NFsWN0HoPHT1EVMKn7lB1cHesT/wq86FblAPAno5haUJe9uw==" saltValue="SIA9duWlYpLjo8d1Z+OFRw==" spinCount="100000" sheet="1" objects="1" scenarios="1"/>
  <mergeCells count="9">
    <mergeCell ref="C1:K1"/>
    <mergeCell ref="C2:K2"/>
    <mergeCell ref="B20:L20"/>
    <mergeCell ref="B21:L21"/>
    <mergeCell ref="B22:L22"/>
    <mergeCell ref="D5:E5"/>
    <mergeCell ref="D6:E6"/>
    <mergeCell ref="F8:G9"/>
    <mergeCell ref="B18:L18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Daten!$B$3:$B$5</xm:f>
          </x14:formula1>
          <xm:sqref>D5:E5</xm:sqref>
        </x14:dataValidation>
        <x14:dataValidation type="list" allowBlank="1" showInputMessage="1" showErrorMessage="1">
          <x14:formula1>
            <xm:f>Daten!$B$7:$B$9</xm:f>
          </x14:formula1>
          <xm:sqref>D6:E6</xm:sqref>
        </x14:dataValidation>
        <x14:dataValidation type="list" allowBlank="1" showInputMessage="1" showErrorMessage="1">
          <x14:formula1>
            <xm:f>Daten!$B$20:$B$26</xm:f>
          </x14:formula1>
          <xm:sqref>D7</xm:sqref>
        </x14:dataValidation>
        <x14:dataValidation type="list" allowBlank="1" showInputMessage="1" showErrorMessage="1">
          <x14:formula1>
            <xm:f>Daten!$B$30:$B$31</xm:f>
          </x14:formula1>
          <xm:sqref>D8</xm:sqref>
        </x14:dataValidation>
        <x14:dataValidation type="list" allowBlank="1" showInputMessage="1" showErrorMessage="1">
          <x14:formula1>
            <xm:f>Daten!$B$54:$B$56</xm:f>
          </x14:formula1>
          <xm:sqref>G10</xm:sqref>
        </x14:dataValidation>
        <x14:dataValidation type="list" allowBlank="1" showInputMessage="1" showErrorMessage="1">
          <x14:formula1>
            <xm:f>Daten!$B$60:$B$62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workbookViewId="0"/>
  </sheetViews>
  <sheetFormatPr baseColWidth="10" defaultRowHeight="15" x14ac:dyDescent="0.25"/>
  <cols>
    <col min="1" max="1" width="6.140625" customWidth="1"/>
    <col min="2" max="3" width="15.85546875" customWidth="1"/>
    <col min="4" max="4" width="8.7109375" customWidth="1"/>
    <col min="5" max="5" width="15.85546875" customWidth="1"/>
    <col min="6" max="6" width="8.7109375" customWidth="1"/>
    <col min="7" max="7" width="15.85546875" customWidth="1"/>
    <col min="8" max="15" width="8.7109375" customWidth="1"/>
  </cols>
  <sheetData>
    <row r="2" spans="1:15" x14ac:dyDescent="0.25">
      <c r="A2" s="2" t="s">
        <v>12</v>
      </c>
    </row>
    <row r="3" spans="1:15" x14ac:dyDescent="0.25">
      <c r="A3" s="1">
        <f>MATCH(Rechner!D5,Daten!B3:B5)</f>
        <v>2</v>
      </c>
      <c r="B3" t="s">
        <v>0</v>
      </c>
    </row>
    <row r="4" spans="1:15" x14ac:dyDescent="0.25">
      <c r="B4" t="s">
        <v>1</v>
      </c>
    </row>
    <row r="5" spans="1:15" x14ac:dyDescent="0.25">
      <c r="B5" t="s">
        <v>2</v>
      </c>
    </row>
    <row r="6" spans="1:15" x14ac:dyDescent="0.25">
      <c r="A6" s="2" t="s">
        <v>13</v>
      </c>
    </row>
    <row r="7" spans="1:15" x14ac:dyDescent="0.25">
      <c r="A7" s="1">
        <f>MATCH(Rechner!D6,Daten!B7:B9)</f>
        <v>2</v>
      </c>
      <c r="B7" t="str">
        <f>INDEX(C7:G7,1,2*A$3-1)</f>
        <v>Gerberakreis</v>
      </c>
      <c r="C7" s="3" t="s">
        <v>3</v>
      </c>
      <c r="D7" s="33">
        <v>1</v>
      </c>
      <c r="E7" s="3" t="s">
        <v>6</v>
      </c>
      <c r="F7" s="33">
        <v>3</v>
      </c>
      <c r="G7" s="3" t="s">
        <v>9</v>
      </c>
      <c r="H7" s="33">
        <v>2</v>
      </c>
    </row>
    <row r="8" spans="1:15" x14ac:dyDescent="0.25">
      <c r="B8" t="str">
        <f t="shared" ref="B8:B9" si="0">INDEX(C8:G8,1,2*A$3-1)</f>
        <v>Hibiskuskreis</v>
      </c>
      <c r="C8" s="3" t="s">
        <v>4</v>
      </c>
      <c r="D8" s="33">
        <v>1</v>
      </c>
      <c r="E8" s="3" t="s">
        <v>7</v>
      </c>
      <c r="F8" s="33">
        <v>2</v>
      </c>
      <c r="G8" s="3" t="s">
        <v>10</v>
      </c>
      <c r="H8" s="33">
        <v>3</v>
      </c>
    </row>
    <row r="9" spans="1:15" x14ac:dyDescent="0.25">
      <c r="B9" t="str">
        <f t="shared" si="0"/>
        <v>Iresinenkreis</v>
      </c>
      <c r="C9" s="3" t="s">
        <v>5</v>
      </c>
      <c r="D9" s="33">
        <v>2</v>
      </c>
      <c r="E9" s="3" t="s">
        <v>8</v>
      </c>
      <c r="F9" s="33">
        <v>1</v>
      </c>
      <c r="G9" s="3" t="s">
        <v>11</v>
      </c>
      <c r="H9" s="33">
        <v>4</v>
      </c>
    </row>
    <row r="10" spans="1:15" x14ac:dyDescent="0.25">
      <c r="A10" s="2" t="s">
        <v>14</v>
      </c>
    </row>
    <row r="11" spans="1:15" ht="15.75" x14ac:dyDescent="0.25">
      <c r="A11" s="1"/>
      <c r="B11" s="6" t="s">
        <v>19</v>
      </c>
      <c r="C11" s="33">
        <f>INDEX(C7:H9,A7,2*A3)</f>
        <v>2</v>
      </c>
      <c r="D11" s="5">
        <f>IF(G11&gt;800,INDEX(D13:D16,C11)*(0.2+(G11/1000)),INDEX(D13:D16,C11))</f>
        <v>0.390625</v>
      </c>
      <c r="F11" t="s">
        <v>20</v>
      </c>
      <c r="G11" s="33">
        <f>Rechner!D9</f>
        <v>415</v>
      </c>
      <c r="H11" t="s">
        <v>21</v>
      </c>
      <c r="I11" s="7" t="s">
        <v>22</v>
      </c>
      <c r="J11" s="7" t="s">
        <v>23</v>
      </c>
      <c r="K11" s="7" t="s">
        <v>24</v>
      </c>
      <c r="L11" s="7" t="s">
        <v>25</v>
      </c>
      <c r="M11" s="7" t="s">
        <v>26</v>
      </c>
      <c r="N11" s="7" t="s">
        <v>27</v>
      </c>
      <c r="O11" s="7" t="s">
        <v>28</v>
      </c>
    </row>
    <row r="12" spans="1:15" ht="15.75" x14ac:dyDescent="0.25">
      <c r="B12" s="8" t="s">
        <v>14</v>
      </c>
      <c r="C12" s="9" t="s">
        <v>29</v>
      </c>
      <c r="D12" s="10" t="s">
        <v>30</v>
      </c>
      <c r="I12" s="11"/>
      <c r="J12" s="11"/>
      <c r="K12" s="11">
        <v>0.5</v>
      </c>
      <c r="L12" s="11"/>
      <c r="M12" s="11">
        <v>0.65</v>
      </c>
      <c r="N12" s="11"/>
      <c r="O12" s="11">
        <v>0.75</v>
      </c>
    </row>
    <row r="13" spans="1:15" x14ac:dyDescent="0.25">
      <c r="B13" s="1" t="s">
        <v>15</v>
      </c>
      <c r="C13" s="4">
        <v>22.5</v>
      </c>
      <c r="D13" s="5">
        <f>POWER(C13,2)/1600</f>
        <v>0.31640625</v>
      </c>
      <c r="I13" s="11"/>
      <c r="J13" s="11">
        <v>0.85</v>
      </c>
      <c r="K13" s="11">
        <v>0.65</v>
      </c>
      <c r="L13" s="11">
        <v>1</v>
      </c>
      <c r="M13" s="11">
        <v>0.8</v>
      </c>
      <c r="N13" s="11">
        <v>1.1000000000000001</v>
      </c>
      <c r="O13" s="11">
        <v>0.9</v>
      </c>
    </row>
    <row r="14" spans="1:15" x14ac:dyDescent="0.25">
      <c r="B14" s="1" t="s">
        <v>16</v>
      </c>
      <c r="C14" s="4">
        <v>25</v>
      </c>
      <c r="D14" s="5">
        <f>POWER(C14,2)/1600</f>
        <v>0.390625</v>
      </c>
      <c r="I14" s="11"/>
      <c r="J14" s="11">
        <v>1.05</v>
      </c>
      <c r="K14" s="11">
        <v>0.8</v>
      </c>
      <c r="L14" s="11">
        <v>1.2</v>
      </c>
      <c r="M14" s="11">
        <v>0.95</v>
      </c>
      <c r="N14" s="11">
        <v>1.3</v>
      </c>
      <c r="O14" s="11">
        <v>1.1000000000000001</v>
      </c>
    </row>
    <row r="15" spans="1:15" x14ac:dyDescent="0.25">
      <c r="B15" s="1" t="s">
        <v>17</v>
      </c>
      <c r="C15" s="4">
        <v>27.5</v>
      </c>
      <c r="D15" s="5">
        <f>POWER(C15,2)/1600</f>
        <v>0.47265625</v>
      </c>
      <c r="I15" s="11">
        <v>1.4</v>
      </c>
      <c r="J15" s="11">
        <v>1.25</v>
      </c>
      <c r="K15" s="11">
        <v>0.95</v>
      </c>
      <c r="L15" s="11">
        <v>1.4</v>
      </c>
      <c r="M15" s="11">
        <v>1.1499999999999999</v>
      </c>
      <c r="N15" s="11">
        <v>1.55</v>
      </c>
      <c r="O15" s="11">
        <v>1.3</v>
      </c>
    </row>
    <row r="16" spans="1:15" x14ac:dyDescent="0.25">
      <c r="B16" s="1" t="s">
        <v>18</v>
      </c>
      <c r="C16" s="4">
        <v>30</v>
      </c>
      <c r="D16" s="5">
        <f>POWER(C16,2)/1600</f>
        <v>0.5625</v>
      </c>
    </row>
    <row r="18" spans="2:12" x14ac:dyDescent="0.25">
      <c r="B18" s="6" t="s">
        <v>19</v>
      </c>
      <c r="C18" s="33">
        <f>MATCH(Rechner!D7,Daten!B20:B26)</f>
        <v>5</v>
      </c>
      <c r="D18" s="5"/>
      <c r="E18" s="12">
        <f>INDEX(E20:E26,C18)</f>
        <v>0.71907630741351614</v>
      </c>
      <c r="F18" s="6" t="s">
        <v>31</v>
      </c>
      <c r="G18" s="4">
        <f>Rechner!G5</f>
        <v>12.4</v>
      </c>
      <c r="H18" s="13" t="s">
        <v>21</v>
      </c>
      <c r="I18" s="12">
        <f>INDEX(I20:I26,C18)</f>
        <v>0.5859375</v>
      </c>
      <c r="J18" s="6" t="s">
        <v>31</v>
      </c>
      <c r="K18" s="4">
        <f>C35</f>
        <v>34.5</v>
      </c>
      <c r="L18" s="13" t="s">
        <v>21</v>
      </c>
    </row>
    <row r="19" spans="2:12" ht="15.75" x14ac:dyDescent="0.25">
      <c r="B19" s="8" t="s">
        <v>32</v>
      </c>
      <c r="C19" s="9" t="s">
        <v>33</v>
      </c>
      <c r="D19" s="10" t="s">
        <v>34</v>
      </c>
      <c r="E19" s="10" t="s">
        <v>35</v>
      </c>
      <c r="I19" s="10" t="s">
        <v>36</v>
      </c>
    </row>
    <row r="20" spans="2:12" x14ac:dyDescent="0.25">
      <c r="B20" s="1" t="s">
        <v>37</v>
      </c>
      <c r="C20" s="4">
        <v>2</v>
      </c>
      <c r="D20" s="5">
        <f>1.9*D11</f>
        <v>0.7421875</v>
      </c>
      <c r="E20" s="5">
        <f>MAX(D20,2.6*D11*POWER($G$18/10,0.19))</f>
        <v>1.0579947261233922</v>
      </c>
      <c r="H20" s="5"/>
      <c r="I20" s="5">
        <f>MAX(D20,2.6*D11*POWER($C$27/10,0.19))</f>
        <v>0.7421875</v>
      </c>
    </row>
    <row r="21" spans="2:12" x14ac:dyDescent="0.25">
      <c r="B21" s="1" t="s">
        <v>38</v>
      </c>
      <c r="C21" s="4">
        <v>4</v>
      </c>
      <c r="D21" s="5">
        <f>1.7*D11</f>
        <v>0.6640625</v>
      </c>
      <c r="E21" s="5">
        <f>MAX(D21,2.1*D11*POWER($G$18/10,0.24))</f>
        <v>0.86377480833269304</v>
      </c>
      <c r="I21" s="5">
        <f>MAX(D21,2.1*D11*POWER($C$27/10,0.24))</f>
        <v>0.6640625</v>
      </c>
    </row>
    <row r="22" spans="2:12" x14ac:dyDescent="0.25">
      <c r="B22" s="1" t="s">
        <v>39</v>
      </c>
      <c r="C22" s="4">
        <v>8</v>
      </c>
      <c r="D22" s="5">
        <f>1.5*D11</f>
        <v>0.5859375</v>
      </c>
      <c r="E22" s="5">
        <f>MAX(D22,1.6*D11*POWER($G$18/10,0.31))</f>
        <v>0.66809887390919465</v>
      </c>
      <c r="I22" s="5">
        <f>MAX(D22,1.6*D11*POWER($C$27/10,0.31))</f>
        <v>0.5859375</v>
      </c>
    </row>
    <row r="23" spans="2:12" x14ac:dyDescent="0.25">
      <c r="B23" s="1" t="s">
        <v>40</v>
      </c>
      <c r="C23" s="4">
        <v>16</v>
      </c>
      <c r="D23" s="5">
        <f>1.3*D11</f>
        <v>0.5078125</v>
      </c>
      <c r="E23" s="5">
        <f>MAX(D23,1.1*D11*POWER($G$18/10,0.4))</f>
        <v>0.5078125</v>
      </c>
      <c r="I23" s="5">
        <f>MAX(D23,1.1*D11*POWER($C$27/10,0.4))</f>
        <v>0.5078125</v>
      </c>
    </row>
    <row r="24" spans="2:12" x14ac:dyDescent="0.25">
      <c r="B24" s="1" t="s">
        <v>41</v>
      </c>
      <c r="C24" s="4">
        <v>7</v>
      </c>
      <c r="D24" s="5">
        <f>1.5*D11</f>
        <v>0.5859375</v>
      </c>
      <c r="E24" s="5">
        <f>MIN(MAX(D24,IF(G18&lt;50.05,1.7*D11*POWER($G$18/10,0.37),2.1*D11*POWER($G$18/10,0.24))),F24)</f>
        <v>0.71907630741351614</v>
      </c>
      <c r="F24" s="11">
        <f>IF(G18&lt;10.05,INDEX(K12:K15,C11),IF(G18&lt;18.05,INDEX(M12:M15,C11),IF(G18&lt;25.05,INDEX(O12:O15,C11),99.99)))</f>
        <v>0.8</v>
      </c>
      <c r="I24" s="5">
        <f>MIN(MAX(D24,IF(G18&lt;50.05,1.7*D11*POWER($C$27/10,0.37),2.1*D11*POWER($C$27/10,0.24))),F24)</f>
        <v>0.5859375</v>
      </c>
    </row>
    <row r="25" spans="2:12" x14ac:dyDescent="0.25">
      <c r="B25" s="1" t="s">
        <v>42</v>
      </c>
      <c r="C25" s="4">
        <v>4</v>
      </c>
      <c r="D25" s="5">
        <f>1.8*D11</f>
        <v>0.703125</v>
      </c>
      <c r="E25" s="5">
        <f>MIN(MAX(D25,IF(G18&lt;50.05,2.3*D11*POWER($G$18/10,0.27),2.6*D11*POWER($G$18/10,0.19))),F25)</f>
        <v>0.95216393054916137</v>
      </c>
      <c r="F25" s="11">
        <f>IF(G18&lt;10.05,INDEX(J12:J15,C11),IF(G18&lt;18.05,INDEX(L12:L15,C11),IF(G18&lt;25.05,INDEX(N12:N15,C11),99.99)))</f>
        <v>1</v>
      </c>
      <c r="I25" s="5">
        <f>MIN(MAX(D25,IF(G18&lt;50.05,2.3*D11*POWER($C$27/10,0.27),2.6*D11*POWER($C$27/10,0.19))),F25)</f>
        <v>0.703125</v>
      </c>
    </row>
    <row r="26" spans="2:12" x14ac:dyDescent="0.25">
      <c r="B26" s="1" t="s">
        <v>43</v>
      </c>
      <c r="C26" s="4">
        <v>2</v>
      </c>
      <c r="D26" s="5">
        <v>1.1000000000000001</v>
      </c>
      <c r="E26" s="5">
        <f>MIN(MAX(D26,2.5*D11*POWER($G$18/10,0.19)),F26)</f>
        <v>1.1000000000000001</v>
      </c>
      <c r="F26" s="11">
        <f>IF(AND(G18&lt;10.05,C11=4),I15,99.99)</f>
        <v>99.99</v>
      </c>
      <c r="I26" s="5">
        <f>MIN(MAX(D26,2.5*D11*POWER($C$27/10,0.19)),F26)</f>
        <v>1.1000000000000001</v>
      </c>
    </row>
    <row r="28" spans="2:12" x14ac:dyDescent="0.25">
      <c r="B28" s="6" t="s">
        <v>19</v>
      </c>
      <c r="C28" s="33">
        <f>MATCH(Rechner!D8,Daten!B30:B31)</f>
        <v>1</v>
      </c>
      <c r="E28" s="14">
        <f>E18*INDEX(C30:C31,C28)</f>
        <v>0.71907630741351614</v>
      </c>
      <c r="F28" s="15" t="s">
        <v>44</v>
      </c>
      <c r="I28" s="14">
        <f>IF(G18&gt;C35,I18*INDEX(C30:C31,C28),0)</f>
        <v>0</v>
      </c>
      <c r="J28" s="15" t="s">
        <v>44</v>
      </c>
    </row>
    <row r="29" spans="2:12" x14ac:dyDescent="0.25">
      <c r="B29" s="8" t="s">
        <v>45</v>
      </c>
      <c r="C29" s="10" t="s">
        <v>46</v>
      </c>
    </row>
    <row r="30" spans="2:12" x14ac:dyDescent="0.25">
      <c r="B30" s="1" t="s">
        <v>47</v>
      </c>
      <c r="C30" s="5">
        <v>1</v>
      </c>
    </row>
    <row r="31" spans="2:12" x14ac:dyDescent="0.25">
      <c r="B31" s="1" t="s">
        <v>48</v>
      </c>
      <c r="C31" s="5">
        <v>1.48</v>
      </c>
    </row>
    <row r="33" spans="2:17" ht="15.75" x14ac:dyDescent="0.25">
      <c r="B33" s="16" t="s">
        <v>49</v>
      </c>
    </row>
    <row r="34" spans="2:17" x14ac:dyDescent="0.25">
      <c r="B34" s="1" t="s">
        <v>50</v>
      </c>
      <c r="C34" s="4">
        <f>MIN(Rechner!G6,Rechner!G7)</f>
        <v>26.8</v>
      </c>
      <c r="D34" t="s">
        <v>21</v>
      </c>
      <c r="E34" s="17">
        <f>IF(F36=2,C35,IF(F36=3,G18-C35,0))</f>
        <v>0</v>
      </c>
      <c r="F34" s="15" t="s">
        <v>21</v>
      </c>
      <c r="I34" s="17">
        <f>IF(F36=3,C35,0)</f>
        <v>0</v>
      </c>
      <c r="J34" s="15" t="s">
        <v>21</v>
      </c>
    </row>
    <row r="35" spans="2:17" x14ac:dyDescent="0.25">
      <c r="B35" s="1" t="s">
        <v>51</v>
      </c>
      <c r="C35" s="4">
        <f>MAX(Rechner!G6,Rechner!G7)</f>
        <v>34.5</v>
      </c>
      <c r="D35" t="s">
        <v>21</v>
      </c>
    </row>
    <row r="36" spans="2:17" x14ac:dyDescent="0.25">
      <c r="B36" s="1" t="s">
        <v>52</v>
      </c>
      <c r="C36" s="5">
        <f>G18/C34</f>
        <v>0.46268656716417911</v>
      </c>
      <c r="E36" s="6" t="s">
        <v>53</v>
      </c>
      <c r="F36" s="1">
        <f>IF(C37&gt;2,3,IF(C37&gt;1,2,1))</f>
        <v>1</v>
      </c>
      <c r="I36">
        <v>1</v>
      </c>
      <c r="J36" t="str">
        <f>CONCATENATE("bis h = ",TEXT(G18,"0")," m")</f>
        <v>bis h = 12 m</v>
      </c>
      <c r="L36" s="18" t="s">
        <v>54</v>
      </c>
    </row>
    <row r="37" spans="2:17" x14ac:dyDescent="0.25">
      <c r="B37" s="1" t="s">
        <v>55</v>
      </c>
      <c r="C37" s="5">
        <f>G18/C35</f>
        <v>0.35942028985507246</v>
      </c>
      <c r="I37">
        <v>2</v>
      </c>
      <c r="J37" t="str">
        <f>CONCATENATE("bis h = ",TEXT(E34,"0")," m")</f>
        <v>bis h = 0 m</v>
      </c>
      <c r="L37" t="str">
        <f>CONCATENATE("von h = ",TEXT(E34,"0")," bis ",TEXT(G18,"0")," m")</f>
        <v>von h = 0 bis 12 m</v>
      </c>
    </row>
    <row r="38" spans="2:17" x14ac:dyDescent="0.25">
      <c r="B38" s="19" t="s">
        <v>56</v>
      </c>
      <c r="C38" s="20">
        <f>MIN(C34,2*G18)</f>
        <v>24.8</v>
      </c>
      <c r="D38" s="21"/>
      <c r="E38" s="20">
        <f>MIN(C35,2*G18)</f>
        <v>24.8</v>
      </c>
      <c r="F38" s="21"/>
      <c r="I38">
        <v>3</v>
      </c>
      <c r="J38" t="str">
        <f>CONCATENATE("bis h = ",TEXT(I34,"0")," m")</f>
        <v>bis h = 0 m</v>
      </c>
      <c r="L38" t="str">
        <f>CONCATENATE("von h = ",TEXT(E34,"0")," bis ",TEXT(G18,"0")," m")</f>
        <v>von h = 0 bis 12 m</v>
      </c>
    </row>
    <row r="39" spans="2:17" x14ac:dyDescent="0.25">
      <c r="B39" s="19" t="s">
        <v>57</v>
      </c>
      <c r="C39" s="20">
        <f>MIN(C38/5,C35)</f>
        <v>4.96</v>
      </c>
      <c r="D39" s="21" t="s">
        <v>21</v>
      </c>
      <c r="E39" s="20">
        <f>MIN(E38/5,C34)</f>
        <v>4.96</v>
      </c>
      <c r="F39" s="21" t="s">
        <v>21</v>
      </c>
    </row>
    <row r="40" spans="2:17" x14ac:dyDescent="0.25">
      <c r="B40" s="19" t="s">
        <v>58</v>
      </c>
      <c r="C40" s="20">
        <f>MIN(0.8*C38,C35-C39)</f>
        <v>19.840000000000003</v>
      </c>
      <c r="D40" s="21" t="s">
        <v>21</v>
      </c>
      <c r="E40" s="20">
        <f>MIN(0.8*E38,C34-E39)</f>
        <v>19.840000000000003</v>
      </c>
      <c r="F40" s="21" t="s">
        <v>21</v>
      </c>
    </row>
    <row r="41" spans="2:17" x14ac:dyDescent="0.25">
      <c r="B41" s="19" t="s">
        <v>59</v>
      </c>
      <c r="C41" s="20">
        <f>MAX(C35-C38,0)</f>
        <v>9.6999999999999993</v>
      </c>
      <c r="D41" s="21" t="s">
        <v>21</v>
      </c>
      <c r="E41" s="20">
        <f>MAX(C34-E38,0)</f>
        <v>2</v>
      </c>
      <c r="F41" s="21" t="s">
        <v>21</v>
      </c>
    </row>
    <row r="42" spans="2:17" ht="23.25" customHeight="1" x14ac:dyDescent="0.25">
      <c r="B42" s="16" t="s">
        <v>60</v>
      </c>
    </row>
    <row r="44" spans="2:17" x14ac:dyDescent="0.25">
      <c r="C44" s="59" t="s">
        <v>61</v>
      </c>
      <c r="D44" s="59"/>
      <c r="E44" s="59"/>
      <c r="F44" s="60" t="s">
        <v>62</v>
      </c>
      <c r="G44" s="60"/>
      <c r="H44" s="60"/>
      <c r="I44" s="61" t="s">
        <v>63</v>
      </c>
      <c r="J44" s="61"/>
      <c r="K44" s="61"/>
      <c r="L44" s="62" t="s">
        <v>64</v>
      </c>
      <c r="M44" s="62"/>
      <c r="N44" s="62"/>
      <c r="O44" s="63" t="s">
        <v>65</v>
      </c>
      <c r="P44" s="63"/>
      <c r="Q44" s="63"/>
    </row>
    <row r="45" spans="2:17" x14ac:dyDescent="0.25">
      <c r="C45" s="22">
        <v>10</v>
      </c>
      <c r="D45" s="22">
        <v>1</v>
      </c>
      <c r="E45" s="22">
        <f>MAX(1,MIN(10,Rechner!J7*Rechner!J8))</f>
        <v>2.1274999999999999</v>
      </c>
      <c r="F45" s="22">
        <v>10</v>
      </c>
      <c r="G45" s="22">
        <v>1</v>
      </c>
      <c r="H45" s="22">
        <f>E45</f>
        <v>2.1274999999999999</v>
      </c>
      <c r="I45" s="22">
        <v>10</v>
      </c>
      <c r="J45" s="22">
        <v>1</v>
      </c>
      <c r="K45" s="22">
        <f>E45</f>
        <v>2.1274999999999999</v>
      </c>
      <c r="L45" s="22">
        <v>10</v>
      </c>
      <c r="M45" s="22">
        <v>1</v>
      </c>
      <c r="N45" s="22">
        <f>E45</f>
        <v>2.1274999999999999</v>
      </c>
      <c r="O45" s="22">
        <v>10</v>
      </c>
      <c r="P45" s="22">
        <v>1</v>
      </c>
      <c r="Q45" s="22">
        <f>E45</f>
        <v>2.1274999999999999</v>
      </c>
    </row>
    <row r="46" spans="2:17" x14ac:dyDescent="0.25">
      <c r="B46" s="23">
        <v>5</v>
      </c>
      <c r="C46" s="4">
        <v>-1.4</v>
      </c>
      <c r="D46" s="4">
        <v>-1.7</v>
      </c>
      <c r="E46" s="4"/>
      <c r="F46" s="4">
        <v>-0.8</v>
      </c>
      <c r="G46" s="4">
        <v>-1.1000000000000001</v>
      </c>
      <c r="H46" s="4"/>
      <c r="I46" s="4">
        <v>-0.5</v>
      </c>
      <c r="J46" s="4">
        <v>-0.7</v>
      </c>
      <c r="K46" s="4"/>
      <c r="L46" s="4">
        <v>0.8</v>
      </c>
      <c r="M46" s="4">
        <v>1</v>
      </c>
      <c r="N46" s="4"/>
      <c r="O46" s="4">
        <v>-0.5</v>
      </c>
      <c r="P46" s="4">
        <v>-0.7</v>
      </c>
      <c r="Q46" s="4"/>
    </row>
    <row r="47" spans="2:17" x14ac:dyDescent="0.25">
      <c r="B47" s="23">
        <v>1</v>
      </c>
      <c r="C47" s="4">
        <v>-1.2</v>
      </c>
      <c r="D47" s="4">
        <v>-1.4</v>
      </c>
      <c r="E47" s="4"/>
      <c r="F47" s="4">
        <v>-0.8</v>
      </c>
      <c r="G47" s="4">
        <v>-1.1000000000000001</v>
      </c>
      <c r="H47" s="4"/>
      <c r="I47" s="4">
        <v>-0.5</v>
      </c>
      <c r="J47" s="4">
        <v>-0.5</v>
      </c>
      <c r="K47" s="4"/>
      <c r="L47" s="4">
        <v>0.8</v>
      </c>
      <c r="M47" s="4">
        <v>1</v>
      </c>
      <c r="N47" s="4"/>
      <c r="O47" s="4">
        <v>-0.5</v>
      </c>
      <c r="P47" s="4">
        <v>-0.5</v>
      </c>
      <c r="Q47" s="4"/>
    </row>
    <row r="48" spans="2:17" x14ac:dyDescent="0.25">
      <c r="B48" s="23">
        <v>0.25</v>
      </c>
      <c r="C48" s="4">
        <v>-1.2</v>
      </c>
      <c r="D48" s="4">
        <v>-1.4</v>
      </c>
      <c r="E48" s="4"/>
      <c r="F48" s="4">
        <v>-0.8</v>
      </c>
      <c r="G48" s="4">
        <v>-1.1000000000000001</v>
      </c>
      <c r="H48" s="4"/>
      <c r="I48" s="4">
        <v>-0.5</v>
      </c>
      <c r="J48" s="4">
        <v>-0.5</v>
      </c>
      <c r="K48" s="4"/>
      <c r="L48" s="4">
        <v>0.7</v>
      </c>
      <c r="M48" s="4">
        <v>1</v>
      </c>
      <c r="N48" s="4"/>
      <c r="O48" s="4">
        <v>-0.3</v>
      </c>
      <c r="P48" s="4">
        <v>-0.5</v>
      </c>
      <c r="Q48" s="4"/>
    </row>
    <row r="49" spans="1:17" x14ac:dyDescent="0.25">
      <c r="B49" s="24">
        <f>B46-B47</f>
        <v>4</v>
      </c>
      <c r="C49" s="25">
        <f>C46-C47</f>
        <v>-0.19999999999999996</v>
      </c>
      <c r="D49" s="25">
        <f>D46-D47</f>
        <v>-0.30000000000000004</v>
      </c>
      <c r="E49" s="26"/>
      <c r="F49" s="26"/>
      <c r="G49" s="26"/>
      <c r="H49" s="26"/>
      <c r="I49" s="26"/>
      <c r="J49" s="25">
        <f>J46-J47</f>
        <v>-0.19999999999999996</v>
      </c>
      <c r="K49" s="26"/>
      <c r="L49" s="25"/>
      <c r="M49" s="25"/>
      <c r="N49" s="26"/>
      <c r="O49" s="25"/>
      <c r="P49" s="25">
        <f>P46-P47</f>
        <v>-0.19999999999999996</v>
      </c>
      <c r="Q49" s="26"/>
    </row>
    <row r="50" spans="1:17" x14ac:dyDescent="0.25">
      <c r="B50" s="27">
        <f>B47-B48</f>
        <v>0.75</v>
      </c>
      <c r="C50" s="28"/>
      <c r="D50" s="28"/>
      <c r="E50" s="29"/>
      <c r="F50" s="29"/>
      <c r="G50" s="29"/>
      <c r="H50" s="29"/>
      <c r="I50" s="29"/>
      <c r="J50" s="28"/>
      <c r="K50" s="29"/>
      <c r="L50" s="28">
        <f>L47-L48</f>
        <v>0.10000000000000009</v>
      </c>
      <c r="M50" s="28"/>
      <c r="N50" s="29"/>
      <c r="O50" s="28">
        <f>O47-O48</f>
        <v>-0.2</v>
      </c>
      <c r="P50" s="30"/>
      <c r="Q50" s="29"/>
    </row>
    <row r="51" spans="1:17" x14ac:dyDescent="0.25">
      <c r="C51" s="5">
        <f>IF($C$36&gt;=5,C46,IF($C$36&gt;1,C47+PRODUCT($C$36-1,C49/$B$41),C47))</f>
        <v>-1.2</v>
      </c>
      <c r="D51" s="5">
        <f>IF($C$36&gt;=5,D46,IF($C$36&gt;1,D47+PRODUCT($C$36-1,D49/$B$41),D47))</f>
        <v>-1.4</v>
      </c>
      <c r="E51" s="5">
        <f>D51+(C51-D51)*LOG(E45)</f>
        <v>-1.3344260862486748</v>
      </c>
      <c r="F51" s="31">
        <v>-0.8</v>
      </c>
      <c r="G51" s="31">
        <v>-1.1000000000000001</v>
      </c>
      <c r="H51" s="5">
        <f>G51+(F51-G51)*LOG(H45)</f>
        <v>-1.0016391293730125</v>
      </c>
      <c r="I51" s="31">
        <v>-0.5</v>
      </c>
      <c r="J51" s="5">
        <f>IF($C$36&gt;=5,J46,IF($C$36&gt;1,J47+PRODUCT($C$36-1,J49/$B$41),J47))</f>
        <v>-0.5</v>
      </c>
      <c r="K51" s="5">
        <f>J51+(I51-J51)*LOG(K45)</f>
        <v>-0.5</v>
      </c>
      <c r="L51" s="5">
        <f>IF($C$28&gt;=1,L47,IF($C$28&gt;0.25,(L47-L50/$B$42)+PRODUCT($C$28,(L50/$B$42)),L48))</f>
        <v>0.8</v>
      </c>
      <c r="M51" s="31">
        <v>1</v>
      </c>
      <c r="N51" s="5">
        <f>M51+(L51-M51)*LOG(N45)</f>
        <v>0.93442608624867496</v>
      </c>
      <c r="O51" s="5">
        <f>IF($C$28&gt;=1,O47,IF($C$28&gt;0.25,(O47-O50/$B$42)+PRODUCT($C$28,(O50/$B$42)),O48))</f>
        <v>-0.5</v>
      </c>
      <c r="P51" s="5">
        <f>IF($C$36&gt;=5,P46,IF($C$36&gt;1,P47+PRODUCT($C$36-1,P49/$B$41),P47))</f>
        <v>-0.5</v>
      </c>
      <c r="Q51" s="5">
        <f>P51+(O51-P51)*LOG(Q45)</f>
        <v>-0.5</v>
      </c>
    </row>
    <row r="52" spans="1:17" x14ac:dyDescent="0.25">
      <c r="E52" s="1">
        <v>-0.5</v>
      </c>
      <c r="H52" s="1">
        <v>-0.5</v>
      </c>
      <c r="K52" s="1">
        <v>-0.5</v>
      </c>
      <c r="N52" s="1">
        <v>0.5</v>
      </c>
      <c r="Q52" s="1">
        <v>-0.5</v>
      </c>
    </row>
    <row r="53" spans="1:17" x14ac:dyDescent="0.25">
      <c r="E53" s="32">
        <f>INDEX(E51:E52,1)</f>
        <v>-1.3344260862486748</v>
      </c>
      <c r="H53" s="32">
        <f>INDEX(H51:H52,1)</f>
        <v>-1.0016391293730125</v>
      </c>
      <c r="K53" s="32">
        <f>INDEX(K51:K52,1)</f>
        <v>-0.5</v>
      </c>
      <c r="N53" s="32">
        <f>INDEX(N51:N52,1)</f>
        <v>0.93442608624867496</v>
      </c>
      <c r="Q53" s="32">
        <f>INDEX(Q51:Q52,1)</f>
        <v>-0.5</v>
      </c>
    </row>
    <row r="54" spans="1:17" x14ac:dyDescent="0.25">
      <c r="A54" s="1">
        <f>MATCH(Rechner!G10,Daten!B54:B56)</f>
        <v>2</v>
      </c>
      <c r="B54" t="s">
        <v>61</v>
      </c>
      <c r="C54" s="5">
        <f>E53</f>
        <v>-1.3344260862486748</v>
      </c>
      <c r="D54" s="5"/>
    </row>
    <row r="55" spans="1:17" x14ac:dyDescent="0.25">
      <c r="B55" t="s">
        <v>62</v>
      </c>
      <c r="C55" s="5">
        <f>H53</f>
        <v>-1.0016391293730125</v>
      </c>
      <c r="D55" s="5"/>
    </row>
    <row r="56" spans="1:17" x14ac:dyDescent="0.25">
      <c r="B56" t="s">
        <v>63</v>
      </c>
      <c r="C56" s="5">
        <f>K53</f>
        <v>-0.5</v>
      </c>
      <c r="D56" s="5"/>
    </row>
    <row r="57" spans="1:17" x14ac:dyDescent="0.25">
      <c r="B57" t="s">
        <v>64</v>
      </c>
      <c r="C57" s="5">
        <f>N53</f>
        <v>0.93442608624867496</v>
      </c>
      <c r="D57" s="5"/>
    </row>
    <row r="58" spans="1:17" x14ac:dyDescent="0.25">
      <c r="B58" t="s">
        <v>65</v>
      </c>
      <c r="C58" s="5">
        <f>Q53</f>
        <v>-0.5</v>
      </c>
      <c r="D58" s="5"/>
    </row>
    <row r="59" spans="1:17" x14ac:dyDescent="0.25">
      <c r="C59" s="5"/>
      <c r="D59" s="5"/>
    </row>
    <row r="60" spans="1:17" x14ac:dyDescent="0.25">
      <c r="A60" s="1">
        <f>MATCH(Rechner!G11,Daten!B60:B62,0)</f>
        <v>1</v>
      </c>
      <c r="B60" t="s">
        <v>83</v>
      </c>
      <c r="C60" s="5">
        <v>-0.2</v>
      </c>
      <c r="D60" s="5">
        <v>0.3</v>
      </c>
    </row>
    <row r="61" spans="1:17" x14ac:dyDescent="0.25">
      <c r="B61" t="s">
        <v>84</v>
      </c>
      <c r="C61" s="5">
        <v>-0.5</v>
      </c>
      <c r="D61" s="5">
        <v>0.5</v>
      </c>
    </row>
    <row r="62" spans="1:17" x14ac:dyDescent="0.25">
      <c r="B62" t="s">
        <v>85</v>
      </c>
      <c r="C62" s="5">
        <v>-0.8</v>
      </c>
      <c r="D62" s="5">
        <v>0.5</v>
      </c>
    </row>
  </sheetData>
  <mergeCells count="5">
    <mergeCell ref="C44:E44"/>
    <mergeCell ref="F44:H44"/>
    <mergeCell ref="I44:K44"/>
    <mergeCell ref="L44:N44"/>
    <mergeCell ref="O44:Q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Daten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Kasper</dc:creator>
  <cp:lastModifiedBy>Peter Kasper</cp:lastModifiedBy>
  <dcterms:created xsi:type="dcterms:W3CDTF">2016-02-28T09:03:17Z</dcterms:created>
  <dcterms:modified xsi:type="dcterms:W3CDTF">2016-02-29T08:18:59Z</dcterms:modified>
</cp:coreProperties>
</file>